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32614a9e4816de5/Desktop/"/>
    </mc:Choice>
  </mc:AlternateContent>
  <xr:revisionPtr revIDLastSave="13" documentId="8_{9D5E61AE-4E02-4459-8A1E-A29444A43430}" xr6:coauthVersionLast="47" xr6:coauthVersionMax="47" xr10:uidLastSave="{D0D130B0-8B62-4A72-8A9A-D60C2F798C7A}"/>
  <bookViews>
    <workbookView xWindow="-110" yWindow="-110" windowWidth="38620" windowHeight="21100" xr2:uid="{04D7C640-0AAF-437B-8FC5-BC289706A4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B26" i="1" s="1"/>
  <c r="G37" i="1"/>
  <c r="G36" i="1"/>
  <c r="G35" i="1"/>
  <c r="G34" i="1"/>
  <c r="G33" i="1"/>
  <c r="G32" i="1"/>
  <c r="G31" i="1"/>
  <c r="G30" i="1"/>
  <c r="G29" i="1"/>
  <c r="G28" i="1"/>
  <c r="G27" i="1"/>
  <c r="G26" i="1"/>
  <c r="E22" i="1"/>
  <c r="C21" i="1"/>
  <c r="C19" i="1"/>
  <c r="C20" i="1"/>
  <c r="C18" i="1"/>
  <c r="I22" i="1"/>
  <c r="H22" i="1"/>
  <c r="C17" i="1"/>
  <c r="C16" i="1"/>
  <c r="C15" i="1"/>
  <c r="C14" i="1"/>
  <c r="C13" i="1"/>
  <c r="C12" i="1"/>
  <c r="C11" i="1"/>
  <c r="C10" i="1"/>
  <c r="C9" i="1"/>
  <c r="A2" i="1"/>
  <c r="D21" i="1" l="1"/>
  <c r="D19" i="1"/>
  <c r="D9" i="1"/>
  <c r="AI22" i="1"/>
  <c r="D20" i="1"/>
  <c r="D18" i="1"/>
  <c r="D16" i="1"/>
  <c r="D15" i="1"/>
  <c r="D11" i="1"/>
  <c r="D13" i="1"/>
  <c r="D12" i="1"/>
  <c r="D10" i="1"/>
  <c r="D14" i="1"/>
  <c r="D17" i="1"/>
  <c r="C22" i="1" l="1"/>
</calcChain>
</file>

<file path=xl/sharedStrings.xml><?xml version="1.0" encoding="utf-8"?>
<sst xmlns="http://schemas.openxmlformats.org/spreadsheetml/2006/main" count="59" uniqueCount="57">
  <si>
    <t>信用卡总结</t>
    <phoneticPr fontId="1" type="noConversion"/>
  </si>
  <si>
    <t>点数价值</t>
    <phoneticPr fontId="1" type="noConversion"/>
  </si>
  <si>
    <t>MR</t>
    <phoneticPr fontId="1" type="noConversion"/>
  </si>
  <si>
    <t>UR</t>
    <phoneticPr fontId="1" type="noConversion"/>
  </si>
  <si>
    <t>AA</t>
    <phoneticPr fontId="1" type="noConversion"/>
  </si>
  <si>
    <t>Mariott</t>
    <phoneticPr fontId="1" type="noConversion"/>
  </si>
  <si>
    <t xml:space="preserve">Hilton </t>
    <phoneticPr fontId="1" type="noConversion"/>
  </si>
  <si>
    <t>IHG</t>
    <phoneticPr fontId="1" type="noConversion"/>
  </si>
  <si>
    <t>持卡人</t>
    <phoneticPr fontId="1" type="noConversion"/>
  </si>
  <si>
    <t>开卡时间</t>
    <phoneticPr fontId="1" type="noConversion"/>
  </si>
  <si>
    <t>5/24时间</t>
    <phoneticPr fontId="1" type="noConversion"/>
  </si>
  <si>
    <t>卡片名称</t>
    <phoneticPr fontId="1" type="noConversion"/>
  </si>
  <si>
    <t>开卡行</t>
    <phoneticPr fontId="1" type="noConversion"/>
  </si>
  <si>
    <t>交易渠道</t>
    <phoneticPr fontId="1" type="noConversion"/>
  </si>
  <si>
    <t>额度</t>
    <phoneticPr fontId="1" type="noConversion"/>
  </si>
  <si>
    <t>刚性年费</t>
    <phoneticPr fontId="1" type="noConversion"/>
  </si>
  <si>
    <t>报销</t>
    <phoneticPr fontId="1" type="noConversion"/>
  </si>
  <si>
    <t>返现</t>
    <phoneticPr fontId="1" type="noConversion"/>
  </si>
  <si>
    <t>吃饭</t>
    <phoneticPr fontId="1" type="noConversion"/>
  </si>
  <si>
    <t>房租</t>
    <phoneticPr fontId="1" type="noConversion"/>
  </si>
  <si>
    <t>机票</t>
    <phoneticPr fontId="1" type="noConversion"/>
  </si>
  <si>
    <t>酒店</t>
    <phoneticPr fontId="1" type="noConversion"/>
  </si>
  <si>
    <t>季度返现</t>
    <phoneticPr fontId="1" type="noConversion"/>
  </si>
  <si>
    <t>加油</t>
    <phoneticPr fontId="1" type="noConversion"/>
  </si>
  <si>
    <t>其他</t>
    <phoneticPr fontId="1" type="noConversion"/>
  </si>
  <si>
    <t>Uber Cash</t>
    <phoneticPr fontId="1" type="noConversion"/>
  </si>
  <si>
    <t>Uber one</t>
    <phoneticPr fontId="1" type="noConversion"/>
  </si>
  <si>
    <t>流媒体</t>
    <phoneticPr fontId="1" type="noConversion"/>
  </si>
  <si>
    <t>Oura</t>
    <phoneticPr fontId="1" type="noConversion"/>
  </si>
  <si>
    <t>飞行杂费</t>
    <phoneticPr fontId="1" type="noConversion"/>
  </si>
  <si>
    <t xml:space="preserve">Dining </t>
    <phoneticPr fontId="1" type="noConversion"/>
  </si>
  <si>
    <t>LULU</t>
    <phoneticPr fontId="1" type="noConversion"/>
  </si>
  <si>
    <t>FHR/酒店</t>
    <phoneticPr fontId="1" type="noConversion"/>
  </si>
  <si>
    <t>Dunkin</t>
    <phoneticPr fontId="1" type="noConversion"/>
  </si>
  <si>
    <t>Saks</t>
    <phoneticPr fontId="1" type="noConversion"/>
  </si>
  <si>
    <t>Resy</t>
    <phoneticPr fontId="1" type="noConversion"/>
  </si>
  <si>
    <t>FN</t>
    <phoneticPr fontId="1" type="noConversion"/>
  </si>
  <si>
    <t>等效年费</t>
    <phoneticPr fontId="1" type="noConversion"/>
  </si>
  <si>
    <t>FTF</t>
    <phoneticPr fontId="1" type="noConversion"/>
  </si>
  <si>
    <t>PPS</t>
    <phoneticPr fontId="1" type="noConversion"/>
  </si>
  <si>
    <t>金属卡</t>
    <phoneticPr fontId="1" type="noConversion"/>
  </si>
  <si>
    <t>Bilt</t>
    <phoneticPr fontId="1" type="noConversion"/>
  </si>
  <si>
    <t>Total</t>
  </si>
  <si>
    <t>5/25卡槽位</t>
    <phoneticPr fontId="1" type="noConversion"/>
  </si>
  <si>
    <t>UA</t>
    <phoneticPr fontId="1" type="noConversion"/>
  </si>
  <si>
    <t>推荐刷卡</t>
    <phoneticPr fontId="1" type="noConversion"/>
  </si>
  <si>
    <t>类别</t>
    <phoneticPr fontId="1" type="noConversion"/>
  </si>
  <si>
    <t>返现比例</t>
    <phoneticPr fontId="1" type="noConversion"/>
  </si>
  <si>
    <t>杂货店</t>
    <phoneticPr fontId="1" type="noConversion"/>
  </si>
  <si>
    <t>Walmart</t>
    <phoneticPr fontId="1" type="noConversion"/>
  </si>
  <si>
    <t>网购</t>
    <phoneticPr fontId="1" type="noConversion"/>
  </si>
  <si>
    <t>Amazon</t>
    <phoneticPr fontId="1" type="noConversion"/>
  </si>
  <si>
    <t>Apple</t>
    <phoneticPr fontId="1" type="noConversion"/>
  </si>
  <si>
    <t>仓储会员店</t>
    <phoneticPr fontId="1" type="noConversion"/>
  </si>
  <si>
    <t>吃饭</t>
  </si>
  <si>
    <t>Which Card Should I Use?</t>
    <phoneticPr fontId="1" type="noConversion"/>
  </si>
  <si>
    <t>卡片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</si>
</sst>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800]dddd\,\ mmmm\ dd\,\ yyyy"/>
    <numFmt numFmtId="177" formatCode="0_);[Red]\(0\)"/>
    <numFmt numFmtId="178" formatCode="0.00_);[Red]\(0.00\)"/>
  </numFmts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rgb="FFFFFFFF"/>
      <name val="等线"/>
      <family val="2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80">
    <dxf>
      <font>
        <color theme="7"/>
      </font>
    </dxf>
    <dxf>
      <font>
        <color rgb="FF9C0006"/>
      </font>
      <fill>
        <patternFill>
          <bgColor rgb="FFFFC7CE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77" formatCode="0_);[Red]\(0\)"/>
      <alignment horizontal="center" vertical="center" textRotation="0" wrapText="0" indent="0" justifyLastLine="0" shrinkToFit="0" readingOrder="0"/>
    </dxf>
    <dxf>
      <numFmt numFmtId="177" formatCode="0_);[Red]\(0\)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78" formatCode="0.00_);[Red]\(0.00\)"/>
      <alignment horizontal="center" vertical="center" textRotation="0" wrapText="0" indent="0" justifyLastLine="0" shrinkToFit="0" readingOrder="0"/>
    </dxf>
    <dxf>
      <numFmt numFmtId="177" formatCode="0_);[Red]\(0\)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DC0A7B-DD44-4CEB-B657-C856B4ACCEB7}" name="Table1" displayName="Table1" ref="A8:AL22" totalsRowCount="1" headerRowDxfId="79" dataDxfId="78">
  <autoFilter ref="A8:AL21" xr:uid="{55DC0A7B-DD44-4CEB-B657-C856B4ACCEB7}"/>
  <tableColumns count="38">
    <tableColumn id="1" xr3:uid="{7078D5CA-CC6A-4D80-AE1F-E5D3A3332432}" name="持卡人" totalsRowLabel="Total" dataDxfId="77" totalsRowDxfId="76"/>
    <tableColumn id="2" xr3:uid="{795F0221-29B8-4032-8BE0-A556DD3F6B1C}" name="开卡时间" dataDxfId="75" totalsRowDxfId="74"/>
    <tableColumn id="33" xr3:uid="{5336D692-236A-4619-8444-3FDE237FCB8A}" name="5/24时间" totalsRowFunction="custom" dataDxfId="73" totalsRowDxfId="72">
      <calculatedColumnFormula>EDATE(B9,24)</calculatedColumnFormula>
      <totalsRowFormula>SUM(Table1[5/25卡槽位])</totalsRowFormula>
    </tableColumn>
    <tableColumn id="3" xr3:uid="{65287021-970F-49F5-87A0-D24AFA4FD433}" name="5/25卡槽位" dataDxfId="71" totalsRowDxfId="70">
      <calculatedColumnFormula>IF(Table1[[#This Row],[5/24时间]]&gt;$A$2,1,0)</calculatedColumnFormula>
    </tableColumn>
    <tableColumn id="4" xr3:uid="{9A02C505-29FD-4667-A1A0-440968A1DFC5}" name="卡片名称" totalsRowFunction="count" dataDxfId="69" totalsRowDxfId="68"/>
    <tableColumn id="5" xr3:uid="{8FE03907-1538-40B1-88AC-D91DC18AD6FB}" name="开卡行" dataDxfId="67" totalsRowDxfId="66"/>
    <tableColumn id="6" xr3:uid="{E6E0A313-112B-423A-A721-2D0CDC55D1B1}" name="交易渠道" dataDxfId="65" totalsRowDxfId="64"/>
    <tableColumn id="7" xr3:uid="{D636D1A1-747C-4B1A-9998-4BBDDDCB1948}" name="额度" totalsRowFunction="sum" dataDxfId="63" totalsRowDxfId="62"/>
    <tableColumn id="8" xr3:uid="{EAC40BC9-6A30-4C0E-BDC0-084A5A19AD55}" name="刚性年费" totalsRowFunction="sum" dataDxfId="61" totalsRowDxfId="60"/>
    <tableColumn id="9" xr3:uid="{55330202-E727-4AF6-A582-42C3B679C96B}" name="吃饭" dataDxfId="59" totalsRowDxfId="58"/>
    <tableColumn id="34" xr3:uid="{DE31824D-A1B7-43B5-BE4F-B314434FA8B3}" name="杂货店" dataDxfId="57" totalsRowDxfId="56"/>
    <tableColumn id="10" xr3:uid="{459925FD-C3BA-4DF4-BD66-FDF985085B5D}" name="Walmart" dataDxfId="55" totalsRowDxfId="54"/>
    <tableColumn id="11" xr3:uid="{EAF830B4-3287-4206-9E05-36F43E20A08A}" name="房租" dataDxfId="53" totalsRowDxfId="52"/>
    <tableColumn id="12" xr3:uid="{BA784782-61C5-4280-82AE-04115D693965}" name="机票" dataDxfId="51" totalsRowDxfId="50"/>
    <tableColumn id="36" xr3:uid="{51B81E81-9DDB-49AE-81AA-1D5179CD551C}" name="网购" dataDxfId="49" totalsRowDxfId="48"/>
    <tableColumn id="37" xr3:uid="{01CF8489-FBAB-4717-BEA7-982BC74F9EA3}" name="Apple" dataDxfId="47" totalsRowDxfId="46"/>
    <tableColumn id="38" xr3:uid="{5350B0B7-2E87-4A36-81D8-EB0CB39FD066}" name="Amazon" dataDxfId="45" totalsRowDxfId="44"/>
    <tableColumn id="35" xr3:uid="{5495B716-17E4-4203-BA5A-1156F5CF074E}" name="仓储会员店" dataDxfId="43" totalsRowDxfId="42"/>
    <tableColumn id="13" xr3:uid="{0A0E41A5-FBB0-44BA-AB90-3D9E8102C874}" name="酒店" dataDxfId="41" totalsRowDxfId="40"/>
    <tableColumn id="14" xr3:uid="{DE8F270B-F72D-43DF-99FE-BC83654FF391}" name="季度返现" dataDxfId="39" totalsRowDxfId="38"/>
    <tableColumn id="15" xr3:uid="{0ED8FECF-EE28-437D-9665-5B9E7AF9F9F4}" name="加油" dataDxfId="37" totalsRowDxfId="36"/>
    <tableColumn id="16" xr3:uid="{C78C2792-6903-4B46-9563-E9C739EFB506}" name="其他" dataDxfId="35" totalsRowDxfId="34"/>
    <tableColumn id="17" xr3:uid="{297973E2-82AB-48C5-963A-95F506A85AB2}" name="Uber Cash" dataDxfId="33" totalsRowDxfId="32"/>
    <tableColumn id="18" xr3:uid="{5AAEBAE3-D5C3-48A1-B570-737808D94A4F}" name="Uber one" dataDxfId="31" totalsRowDxfId="30"/>
    <tableColumn id="19" xr3:uid="{7AD56192-DFF7-4841-A60C-E1822508A432}" name="流媒体" dataDxfId="29" totalsRowDxfId="28"/>
    <tableColumn id="20" xr3:uid="{4CF68792-825E-45BF-B853-4E8978F3C5E4}" name="Oura" dataDxfId="27" totalsRowDxfId="26"/>
    <tableColumn id="21" xr3:uid="{1BC92F02-BF0C-483E-9615-12F7038AD1EA}" name="飞行杂费" dataDxfId="25" totalsRowDxfId="24"/>
    <tableColumn id="22" xr3:uid="{09D31FE9-FA62-418C-A2E9-145A8A3EC0FB}" name="Dining " dataDxfId="23" totalsRowDxfId="22"/>
    <tableColumn id="23" xr3:uid="{D9F48729-E3B3-4356-B491-92C762E92A01}" name="FHR/酒店" dataDxfId="21" totalsRowDxfId="20"/>
    <tableColumn id="24" xr3:uid="{5CA9A41F-A99C-4DF4-BA13-45BFC8B9C2E8}" name="LULU" dataDxfId="19" totalsRowDxfId="18"/>
    <tableColumn id="25" xr3:uid="{2B275AF4-CA97-4A88-9973-94956B362111}" name="Dunkin" dataDxfId="17" totalsRowDxfId="16"/>
    <tableColumn id="26" xr3:uid="{CF98BB1E-AECF-460B-BFDC-43307CC7B2B6}" name="Saks" dataDxfId="15" totalsRowDxfId="14"/>
    <tableColumn id="27" xr3:uid="{60FADAFF-BA80-4DE6-B82B-FEEA73DA7573}" name="Resy" dataDxfId="13" totalsRowDxfId="12"/>
    <tableColumn id="28" xr3:uid="{AF871764-D407-4A38-963F-42C859434238}" name="FN" dataDxfId="11" totalsRowDxfId="10"/>
    <tableColumn id="29" xr3:uid="{505CD395-6C3F-478C-962F-321D099B1EE7}" name="等效年费" totalsRowFunction="sum" dataDxfId="9" totalsRowDxfId="8"/>
    <tableColumn id="30" xr3:uid="{22DDFBA4-12A3-4E98-84FB-D0E0E1EE1FE7}" name="FTF" dataDxfId="7" totalsRowDxfId="6"/>
    <tableColumn id="31" xr3:uid="{5ED27732-A5C7-4889-82E2-7A9417602BCA}" name="PPS" dataDxfId="5" totalsRowDxfId="4"/>
    <tableColumn id="32" xr3:uid="{F2030C12-5DEB-47A4-B867-7BDE8436D90D}" name="金属卡" dataDxfId="3" totalsRow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51F44-C707-4D4F-A738-C0670807FFFD}">
  <dimension ref="A1:AL231"/>
  <sheetViews>
    <sheetView tabSelected="1" workbookViewId="0">
      <selection activeCell="J22" sqref="J22"/>
    </sheetView>
  </sheetViews>
  <sheetFormatPr defaultRowHeight="14"/>
  <cols>
    <col min="1" max="1" width="10.83203125" bestFit="1" customWidth="1"/>
    <col min="2" max="2" width="12.6640625" bestFit="1" customWidth="1"/>
    <col min="3" max="3" width="12.75" bestFit="1" customWidth="1"/>
    <col min="4" max="4" width="14.6640625" bestFit="1" customWidth="1"/>
    <col min="5" max="5" width="12.6640625" bestFit="1" customWidth="1"/>
    <col min="6" max="6" width="10.83203125" bestFit="1" customWidth="1"/>
    <col min="7" max="7" width="12.6640625" bestFit="1" customWidth="1"/>
    <col min="8" max="8" width="9" bestFit="1" customWidth="1"/>
    <col min="9" max="9" width="12.6640625" bestFit="1" customWidth="1"/>
    <col min="10" max="10" width="9" bestFit="1" customWidth="1"/>
    <col min="11" max="11" width="10.83203125" bestFit="1" customWidth="1"/>
    <col min="12" max="12" width="12.33203125" bestFit="1" customWidth="1"/>
    <col min="13" max="15" width="9" bestFit="1" customWidth="1"/>
    <col min="16" max="16" width="10.25" bestFit="1" customWidth="1"/>
    <col min="17" max="17" width="12.08203125" bestFit="1" customWidth="1"/>
    <col min="18" max="18" width="14.58203125" bestFit="1" customWidth="1"/>
    <col min="19" max="19" width="9" bestFit="1" customWidth="1"/>
    <col min="20" max="20" width="12.6640625" bestFit="1" customWidth="1"/>
    <col min="21" max="22" width="9" bestFit="1" customWidth="1"/>
    <col min="23" max="23" width="13.75" bestFit="1" customWidth="1"/>
    <col min="24" max="24" width="13" bestFit="1" customWidth="1"/>
    <col min="25" max="25" width="10.83203125" bestFit="1" customWidth="1"/>
    <col min="26" max="26" width="9.4140625" bestFit="1" customWidth="1"/>
    <col min="27" max="27" width="12.6640625" bestFit="1" customWidth="1"/>
    <col min="28" max="28" width="11.4140625" bestFit="1" customWidth="1"/>
    <col min="29" max="29" width="13.1640625" bestFit="1" customWidth="1"/>
    <col min="30" max="30" width="9.6640625" bestFit="1" customWidth="1"/>
    <col min="31" max="31" width="11.4140625" bestFit="1" customWidth="1"/>
    <col min="32" max="32" width="9" bestFit="1" customWidth="1"/>
    <col min="33" max="33" width="9.1640625" bestFit="1" customWidth="1"/>
    <col min="34" max="34" width="7.6640625" bestFit="1" customWidth="1"/>
    <col min="35" max="35" width="12.6640625" bestFit="1" customWidth="1"/>
    <col min="36" max="36" width="8.1640625" bestFit="1" customWidth="1"/>
    <col min="37" max="37" width="8.5" bestFit="1" customWidth="1"/>
    <col min="38" max="38" width="10.83203125" bestFit="1" customWidth="1"/>
  </cols>
  <sheetData>
    <row r="1" spans="1:38">
      <c r="A1" s="2" t="s">
        <v>0</v>
      </c>
      <c r="D1" t="s">
        <v>1</v>
      </c>
      <c r="E1" t="s">
        <v>2</v>
      </c>
      <c r="F1">
        <v>1.1000000000000001</v>
      </c>
      <c r="G1" t="s">
        <v>5</v>
      </c>
      <c r="H1">
        <v>0.8</v>
      </c>
    </row>
    <row r="2" spans="1:38">
      <c r="A2" s="1">
        <f ca="1">TODAY()</f>
        <v>46131</v>
      </c>
      <c r="E2" t="s">
        <v>3</v>
      </c>
      <c r="F2">
        <v>1.25</v>
      </c>
      <c r="G2" t="s">
        <v>6</v>
      </c>
      <c r="H2">
        <v>0.4</v>
      </c>
    </row>
    <row r="3" spans="1:38">
      <c r="E3" t="s">
        <v>4</v>
      </c>
      <c r="F3">
        <v>1.5</v>
      </c>
      <c r="G3" t="s">
        <v>7</v>
      </c>
      <c r="H3">
        <v>0.7</v>
      </c>
    </row>
    <row r="4" spans="1:38">
      <c r="E4" t="s">
        <v>41</v>
      </c>
      <c r="F4">
        <v>1.6</v>
      </c>
      <c r="G4" t="s">
        <v>44</v>
      </c>
      <c r="H4">
        <v>1.5</v>
      </c>
    </row>
    <row r="7" spans="1:38">
      <c r="J7" s="12" t="s">
        <v>17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 t="s">
        <v>16</v>
      </c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8" s="2" customFormat="1">
      <c r="A8" s="2" t="s">
        <v>8</v>
      </c>
      <c r="B8" s="2" t="s">
        <v>9</v>
      </c>
      <c r="C8" s="2" t="s">
        <v>10</v>
      </c>
      <c r="D8" s="2" t="s">
        <v>43</v>
      </c>
      <c r="E8" s="2" t="s">
        <v>11</v>
      </c>
      <c r="F8" s="2" t="s">
        <v>12</v>
      </c>
      <c r="G8" s="2" t="s">
        <v>13</v>
      </c>
      <c r="H8" s="2" t="s">
        <v>14</v>
      </c>
      <c r="I8" s="2" t="s">
        <v>15</v>
      </c>
      <c r="J8" s="2" t="s">
        <v>18</v>
      </c>
      <c r="K8" s="2" t="s">
        <v>48</v>
      </c>
      <c r="L8" s="2" t="s">
        <v>49</v>
      </c>
      <c r="M8" s="2" t="s">
        <v>19</v>
      </c>
      <c r="N8" s="2" t="s">
        <v>20</v>
      </c>
      <c r="O8" s="2" t="s">
        <v>50</v>
      </c>
      <c r="P8" s="2" t="s">
        <v>52</v>
      </c>
      <c r="Q8" s="2" t="s">
        <v>51</v>
      </c>
      <c r="R8" s="2" t="s">
        <v>53</v>
      </c>
      <c r="S8" s="2" t="s">
        <v>21</v>
      </c>
      <c r="T8" s="2" t="s">
        <v>22</v>
      </c>
      <c r="U8" s="2" t="s">
        <v>23</v>
      </c>
      <c r="V8" s="2" t="s">
        <v>24</v>
      </c>
      <c r="W8" s="2" t="s">
        <v>25</v>
      </c>
      <c r="X8" s="2" t="s">
        <v>26</v>
      </c>
      <c r="Y8" s="2" t="s">
        <v>27</v>
      </c>
      <c r="Z8" s="2" t="s">
        <v>28</v>
      </c>
      <c r="AA8" s="2" t="s">
        <v>29</v>
      </c>
      <c r="AB8" s="2" t="s">
        <v>30</v>
      </c>
      <c r="AC8" s="2" t="s">
        <v>32</v>
      </c>
      <c r="AD8" s="2" t="s">
        <v>31</v>
      </c>
      <c r="AE8" s="2" t="s">
        <v>33</v>
      </c>
      <c r="AF8" s="2" t="s">
        <v>34</v>
      </c>
      <c r="AG8" s="2" t="s">
        <v>35</v>
      </c>
      <c r="AH8" s="2" t="s">
        <v>36</v>
      </c>
      <c r="AI8" s="2" t="s">
        <v>37</v>
      </c>
      <c r="AJ8" s="2" t="s">
        <v>38</v>
      </c>
      <c r="AK8" s="2" t="s">
        <v>39</v>
      </c>
      <c r="AL8" s="2" t="s">
        <v>40</v>
      </c>
    </row>
    <row r="9" spans="1:38" s="2" customFormat="1">
      <c r="B9" s="6"/>
      <c r="C9" s="6">
        <f t="shared" ref="C9:C16" si="0">EDATE(B9,24)</f>
        <v>731</v>
      </c>
      <c r="D9" s="5">
        <f ca="1">IF(Table1[[#This Row],[5/24时间]]&gt;$A$2,1,0)</f>
        <v>0</v>
      </c>
      <c r="AI9" s="4"/>
    </row>
    <row r="10" spans="1:38" s="2" customFormat="1">
      <c r="B10" s="6"/>
      <c r="C10" s="6">
        <f t="shared" si="0"/>
        <v>731</v>
      </c>
      <c r="D10" s="5">
        <f ca="1">IF(Table1[[#This Row],[5/24时间]]&gt;$A$2,1,0)</f>
        <v>0</v>
      </c>
      <c r="AI10" s="4"/>
    </row>
    <row r="11" spans="1:38" s="2" customFormat="1">
      <c r="B11" s="6"/>
      <c r="C11" s="6">
        <f t="shared" si="0"/>
        <v>731</v>
      </c>
      <c r="D11" s="5">
        <f ca="1">IF(Table1[[#This Row],[5/24时间]]&gt;$A$2,1,0)</f>
        <v>0</v>
      </c>
      <c r="AI11" s="4"/>
    </row>
    <row r="12" spans="1:38" s="2" customFormat="1">
      <c r="B12" s="6"/>
      <c r="C12" s="6">
        <f t="shared" si="0"/>
        <v>731</v>
      </c>
      <c r="D12" s="5">
        <f ca="1">IF(Table1[[#This Row],[5/24时间]]&gt;$A$2,1,0)</f>
        <v>0</v>
      </c>
      <c r="AI12" s="4"/>
    </row>
    <row r="13" spans="1:38" s="2" customFormat="1">
      <c r="B13" s="6"/>
      <c r="C13" s="6">
        <f t="shared" si="0"/>
        <v>731</v>
      </c>
      <c r="D13" s="5">
        <f ca="1">IF(Table1[[#This Row],[5/24时间]]&gt;$A$2,1,0)</f>
        <v>0</v>
      </c>
      <c r="AI13" s="4"/>
    </row>
    <row r="14" spans="1:38" s="2" customFormat="1">
      <c r="B14" s="6"/>
      <c r="C14" s="6">
        <f t="shared" si="0"/>
        <v>731</v>
      </c>
      <c r="D14" s="5">
        <f ca="1">IF(Table1[[#This Row],[5/24时间]]&gt;$A$2,1,0)</f>
        <v>0</v>
      </c>
      <c r="AI14" s="4"/>
    </row>
    <row r="15" spans="1:38" s="2" customFormat="1">
      <c r="A15" s="7"/>
      <c r="B15" s="8"/>
      <c r="C15" s="13">
        <f t="shared" si="0"/>
        <v>731</v>
      </c>
      <c r="D15" s="14">
        <f ca="1">IF(Table1[[#This Row],[5/24时间]]&gt;$A$2,1,0)</f>
        <v>0</v>
      </c>
      <c r="E15" s="7"/>
      <c r="F15" s="7"/>
      <c r="G15" s="7"/>
      <c r="H15" s="7"/>
      <c r="I15" s="7"/>
      <c r="J15" s="7"/>
      <c r="K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4"/>
      <c r="AJ15" s="7"/>
      <c r="AK15" s="7"/>
      <c r="AL15" s="7"/>
    </row>
    <row r="16" spans="1:38" s="2" customFormat="1">
      <c r="B16" s="6"/>
      <c r="C16" s="6">
        <f t="shared" si="0"/>
        <v>731</v>
      </c>
      <c r="D16" s="5">
        <f ca="1">IF(Table1[[#This Row],[5/24时间]]&gt;$A$2,1,0)</f>
        <v>0</v>
      </c>
      <c r="AI16" s="4"/>
    </row>
    <row r="17" spans="1:38" s="2" customFormat="1">
      <c r="B17" s="6"/>
      <c r="C17" s="6">
        <f>EDATE(B17,24)</f>
        <v>731</v>
      </c>
      <c r="D17" s="5">
        <f ca="1">IF(Table1[[#This Row],[5/24时间]]&gt;$A$2,1,0)</f>
        <v>0</v>
      </c>
      <c r="AI17" s="4"/>
    </row>
    <row r="18" spans="1:38" s="2" customFormat="1">
      <c r="B18" s="6"/>
      <c r="C18" s="6">
        <f>EDATE(B18,24)</f>
        <v>731</v>
      </c>
      <c r="D18" s="5">
        <f ca="1">IF(Table1[[#This Row],[5/24时间]]&gt;$A$2,1,0)</f>
        <v>0</v>
      </c>
      <c r="AI18" s="4"/>
    </row>
    <row r="19" spans="1:38" s="2" customFormat="1">
      <c r="B19" s="6"/>
      <c r="C19" s="6">
        <f>EDATE(B19,24)</f>
        <v>731</v>
      </c>
      <c r="D19" s="5">
        <f ca="1">IF(Table1[[#This Row],[5/24时间]]&gt;$A$2,1,0)</f>
        <v>0</v>
      </c>
      <c r="AI19" s="4"/>
    </row>
    <row r="20" spans="1:38" s="2" customFormat="1">
      <c r="B20" s="6"/>
      <c r="C20" s="6">
        <f>EDATE(B20,24)</f>
        <v>731</v>
      </c>
      <c r="D20" s="5">
        <f ca="1">IF(Table1[[#This Row],[5/24时间]]&gt;$A$2,1,0)</f>
        <v>0</v>
      </c>
      <c r="AI20" s="4"/>
    </row>
    <row r="21" spans="1:38">
      <c r="A21" s="2"/>
      <c r="B21" s="6"/>
      <c r="C21" s="6">
        <f>EDATE(B21,24)</f>
        <v>731</v>
      </c>
      <c r="D21" s="5">
        <f ca="1">IF(Table1[[#This Row],[5/24时间]]&gt;$A$2,1,0)</f>
        <v>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s="2" customFormat="1">
      <c r="A22" s="2" t="s">
        <v>42</v>
      </c>
      <c r="C22" s="4">
        <f ca="1">SUM(Table1[5/25卡槽位])</f>
        <v>0</v>
      </c>
      <c r="E22" s="2">
        <f>SUBTOTAL(103,Table1[卡片名称])</f>
        <v>0</v>
      </c>
      <c r="H22" s="2">
        <f>SUBTOTAL(109,Table1[额度])</f>
        <v>0</v>
      </c>
      <c r="I22" s="2">
        <f>SUBTOTAL(109,Table1[刚性年费])</f>
        <v>0</v>
      </c>
      <c r="AI22" s="4">
        <f>SUBTOTAL(109,Table1[等效年费])</f>
        <v>0</v>
      </c>
    </row>
    <row r="24" spans="1:38" s="2" customFormat="1">
      <c r="A24" s="12" t="s">
        <v>55</v>
      </c>
      <c r="B24" s="12"/>
      <c r="G24" s="12" t="s">
        <v>45</v>
      </c>
      <c r="H24" s="12"/>
      <c r="I24" s="12"/>
      <c r="AI24" s="4"/>
    </row>
    <row r="25" spans="1:38" s="2" customFormat="1">
      <c r="A25" s="2" t="s">
        <v>46</v>
      </c>
      <c r="B25" s="2" t="s">
        <v>54</v>
      </c>
      <c r="G25" s="9" t="s">
        <v>46</v>
      </c>
      <c r="H25" s="9" t="s">
        <v>11</v>
      </c>
      <c r="I25" s="9" t="s">
        <v>47</v>
      </c>
      <c r="AI25" s="4"/>
    </row>
    <row r="26" spans="1:38" s="2" customFormat="1">
      <c r="A26" s="2" t="s">
        <v>56</v>
      </c>
      <c r="B26" s="2" t="str">
        <f>IFERROR(VLOOKUP(B25,G26:H37,2,FALSE),"未找到类别")</f>
        <v>未找到类别</v>
      </c>
      <c r="C26" s="3"/>
      <c r="D26" s="3"/>
      <c r="G26" s="10" t="str">
        <f>J8</f>
        <v>吃饭</v>
      </c>
      <c r="H26" s="11" t="e">
        <f>INDEX($E$9:$E$21,MATCH(MAX($J$9:$J$21),$J$9:$J$21,0))</f>
        <v>#N/A</v>
      </c>
      <c r="I26" s="11">
        <f>MAX($J$9:$J$21)</f>
        <v>0</v>
      </c>
      <c r="AI26" s="4"/>
    </row>
    <row r="27" spans="1:38" s="2" customFormat="1">
      <c r="C27" s="3"/>
      <c r="D27" s="3"/>
      <c r="G27" s="11" t="str">
        <f>K8</f>
        <v>杂货店</v>
      </c>
      <c r="H27" s="11" t="e">
        <f>INDEX($E$9:$E$21,MATCH(MAX($K$9:$K$21),$K$9:$K$21,0))</f>
        <v>#N/A</v>
      </c>
      <c r="I27" s="11">
        <f>MAX($K$9:$K$21)</f>
        <v>0</v>
      </c>
      <c r="AI27" s="4"/>
    </row>
    <row r="28" spans="1:38" s="2" customFormat="1">
      <c r="B28" s="3"/>
      <c r="C28" s="3"/>
      <c r="D28" s="3"/>
      <c r="G28" s="11" t="str">
        <f>L8</f>
        <v>Walmart</v>
      </c>
      <c r="H28" s="11" t="e">
        <f>INDEX($E$9:$E$21,MATCH(MAX($L$9:$L$21),$L$9:$L$21,0))</f>
        <v>#N/A</v>
      </c>
      <c r="I28" s="11">
        <f>MAX($L$9:$L$21)</f>
        <v>0</v>
      </c>
      <c r="AI28" s="4"/>
    </row>
    <row r="29" spans="1:38" s="2" customFormat="1">
      <c r="B29" s="3"/>
      <c r="C29" s="3"/>
      <c r="D29" s="3"/>
      <c r="G29" s="11" t="str">
        <f>N8</f>
        <v>机票</v>
      </c>
      <c r="H29" s="11" t="e">
        <f>INDEX($E$9:$E$21,MATCH(MAX($N$9:$N$21),$N$9:$N$21,0))</f>
        <v>#N/A</v>
      </c>
      <c r="I29" s="11">
        <f>MAX($N$9:$N$21)</f>
        <v>0</v>
      </c>
      <c r="AI29" s="4"/>
    </row>
    <row r="30" spans="1:38" s="2" customFormat="1">
      <c r="B30" s="3"/>
      <c r="C30" s="3"/>
      <c r="D30" s="3"/>
      <c r="G30" s="11" t="str">
        <f>O8</f>
        <v>网购</v>
      </c>
      <c r="H30" s="11" t="e">
        <f>INDEX($E$9:$E$21,MATCH(MAX($O$9:$O$21),$O$9:$O$21,0))</f>
        <v>#N/A</v>
      </c>
      <c r="I30" s="11">
        <f>MAX($O$9:$O$21)</f>
        <v>0</v>
      </c>
      <c r="AI30" s="4"/>
    </row>
    <row r="31" spans="1:38" s="2" customFormat="1">
      <c r="B31" s="3"/>
      <c r="C31" s="3"/>
      <c r="D31" s="3"/>
      <c r="G31" s="11" t="str">
        <f>P8</f>
        <v>Apple</v>
      </c>
      <c r="H31" s="11" t="e">
        <f>INDEX($E$9:$E$21,MATCH(MAX($P$9:$P$21),$P$9:$P$21,0))</f>
        <v>#N/A</v>
      </c>
      <c r="I31" s="11">
        <f>MAX($P$9:$P$21)</f>
        <v>0</v>
      </c>
      <c r="AI31" s="4"/>
    </row>
    <row r="32" spans="1:38" s="2" customFormat="1">
      <c r="B32" s="3"/>
      <c r="C32" s="3"/>
      <c r="G32" s="11" t="str">
        <f>Q8</f>
        <v>Amazon</v>
      </c>
      <c r="H32" s="11" t="e">
        <f>INDEX($E$9:$E$21,MATCH(MAX($Q$9:$Q$21),$Q$9:$Q$21,0))</f>
        <v>#N/A</v>
      </c>
      <c r="I32" s="11">
        <f>MAX($Q$9:$Q$21)</f>
        <v>0</v>
      </c>
      <c r="AI32" s="4"/>
    </row>
    <row r="33" spans="2:35" s="2" customFormat="1">
      <c r="B33" s="3"/>
      <c r="C33" s="3"/>
      <c r="G33" s="11" t="str">
        <f>R8</f>
        <v>仓储会员店</v>
      </c>
      <c r="H33" s="11" t="e">
        <f>INDEX($E$9:$E$21,MATCH(MAX($R$9:$R$21),$R$9:$R$21,0))</f>
        <v>#N/A</v>
      </c>
      <c r="I33" s="11">
        <f>MAX($R$9:$R$21)</f>
        <v>0</v>
      </c>
      <c r="AI33" s="4"/>
    </row>
    <row r="34" spans="2:35" s="2" customFormat="1">
      <c r="B34" s="3"/>
      <c r="C34" s="3"/>
      <c r="G34" s="11" t="str">
        <f>S8</f>
        <v>酒店</v>
      </c>
      <c r="H34" s="11" t="e">
        <f>INDEX($E$9:$E$21,MATCH(MAX($S$9:$S$21),$S$9:$S$21,0))</f>
        <v>#N/A</v>
      </c>
      <c r="I34" s="11">
        <f>MAX($S$9:$S$21)</f>
        <v>0</v>
      </c>
      <c r="AI34" s="4"/>
    </row>
    <row r="35" spans="2:35" s="2" customFormat="1">
      <c r="B35" s="3"/>
      <c r="C35" s="3"/>
      <c r="G35" s="11" t="str">
        <f>T8</f>
        <v>季度返现</v>
      </c>
      <c r="H35" s="11" t="e">
        <f>INDEX($E$9:$E$21,MATCH(MAX($T$9:$T$21),$T$9:$T$21,0))</f>
        <v>#N/A</v>
      </c>
      <c r="I35" s="11">
        <f>MAX($T$9:$T$21)</f>
        <v>0</v>
      </c>
      <c r="AI35" s="4"/>
    </row>
    <row r="36" spans="2:35" s="2" customFormat="1">
      <c r="G36" s="11" t="str">
        <f>U8</f>
        <v>加油</v>
      </c>
      <c r="H36" s="11" t="e">
        <f>INDEX($E$9:$E$21,MATCH(MAX($U$9:$U$21),$U$9:$U$21,0))</f>
        <v>#N/A</v>
      </c>
      <c r="I36" s="11">
        <f>MAX($U$9:$U$21)</f>
        <v>0</v>
      </c>
      <c r="AI36" s="4"/>
    </row>
    <row r="37" spans="2:35" s="2" customFormat="1">
      <c r="G37" s="11" t="str">
        <f>V8</f>
        <v>其他</v>
      </c>
      <c r="H37" s="11" t="e">
        <f>INDEX($E$9:$E$21,MATCH(MAX($V$9:$V$21),$V$9:$V$21,0))</f>
        <v>#N/A</v>
      </c>
      <c r="I37" s="11">
        <f>MAX($V$9:$V$21)</f>
        <v>0</v>
      </c>
    </row>
    <row r="38" spans="2:35" s="2" customFormat="1"/>
    <row r="39" spans="2:35" s="2" customFormat="1"/>
    <row r="40" spans="2:35" s="2" customFormat="1"/>
    <row r="41" spans="2:35" s="2" customFormat="1"/>
    <row r="42" spans="2:35" s="2" customFormat="1"/>
    <row r="43" spans="2:35" s="2" customFormat="1"/>
    <row r="44" spans="2:35" s="2" customFormat="1"/>
    <row r="45" spans="2:35" s="2" customFormat="1"/>
    <row r="46" spans="2:35" s="2" customFormat="1"/>
    <row r="47" spans="2:35" s="2" customFormat="1"/>
    <row r="48" spans="2:35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pans="1:38" s="2" customFormat="1"/>
    <row r="226" spans="1:38" s="2" customFormat="1"/>
    <row r="227" spans="1:38" s="2" customFormat="1"/>
    <row r="228" spans="1:38" s="2" customFormat="1"/>
    <row r="229" spans="1:38" s="2" customFormat="1"/>
    <row r="230" spans="1:38" s="2" customFormat="1"/>
    <row r="231" spans="1:38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</row>
  </sheetData>
  <mergeCells count="4">
    <mergeCell ref="J7:V7"/>
    <mergeCell ref="W7:AH7"/>
    <mergeCell ref="G24:I24"/>
    <mergeCell ref="A24:B24"/>
  </mergeCells>
  <phoneticPr fontId="1" type="noConversion"/>
  <conditionalFormatting sqref="C22">
    <cfRule type="cellIs" dxfId="1" priority="1" operator="greaterThan">
      <formula>4</formula>
    </cfRule>
  </conditionalFormatting>
  <conditionalFormatting sqref="D7 C9:C21 C18:D20 D21 D26:D31 I26:I37">
    <cfRule type="cellIs" dxfId="0" priority="3" operator="greaterThan">
      <formula>$A$2</formula>
    </cfRule>
  </conditionalFormatting>
  <dataValidations count="1">
    <dataValidation type="list" allowBlank="1" showInputMessage="1" showErrorMessage="1" sqref="B25" xr:uid="{F27E1EEB-795C-4E7F-884B-8060636E6868}">
      <formula1>"吃饭,杂货店,Walmart,房租,机票,网购,Apple,Amazon,仓储会员店,酒店,季度返现,加油,其他"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Hua, Junhao</dc:creator>
  <cp:lastModifiedBy>Ian Hua</cp:lastModifiedBy>
  <dcterms:created xsi:type="dcterms:W3CDTF">2025-10-27T20:22:17Z</dcterms:created>
  <dcterms:modified xsi:type="dcterms:W3CDTF">2026-04-19T21:58:17Z</dcterms:modified>
</cp:coreProperties>
</file>